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A:\AZIZI AMINE SOLUTIONS\AZIZIAMINE ACTU\"/>
    </mc:Choice>
  </mc:AlternateContent>
  <xr:revisionPtr revIDLastSave="0" documentId="13_ncr:1_{EAA428A0-A03A-40B6-9E6C-5D9FB4FA8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_SYNTHÈSE_&amp;_HYPOTHÈSES" sheetId="1" r:id="rId1"/>
    <sheet name="2_CAPEX_&amp;_AMORTISSEMENTS" sheetId="2" r:id="rId2"/>
    <sheet name="3_COMPTE_RÉSULTAT_36M" sheetId="3" r:id="rId3"/>
    <sheet name="4_BFR_&amp;_TRÉSORERIE" sheetId="4" r:id="rId4"/>
    <sheet name="5_SEUIL_RENTABILITÉ" sheetId="5" r:id="rId5"/>
    <sheet name="6_AUDIT_RATIOS_BANCAIR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6" l="1"/>
  <c r="D7" i="6"/>
  <c r="F7" i="6" s="1"/>
  <c r="E5" i="6"/>
  <c r="D5" i="6"/>
  <c r="F5" i="6" s="1"/>
  <c r="E5" i="5"/>
  <c r="D5" i="5"/>
  <c r="C5" i="5"/>
  <c r="E17" i="4"/>
  <c r="D17" i="4"/>
  <c r="C17" i="4"/>
  <c r="E16" i="4"/>
  <c r="D16" i="4"/>
  <c r="C16" i="4"/>
  <c r="E15" i="4"/>
  <c r="D15" i="4"/>
  <c r="C15" i="4"/>
  <c r="E14" i="4"/>
  <c r="D14" i="4"/>
  <c r="E6" i="4"/>
  <c r="D6" i="4"/>
  <c r="C6" i="4"/>
  <c r="E5" i="4"/>
  <c r="D5" i="4"/>
  <c r="C5" i="4"/>
  <c r="E7" i="3"/>
  <c r="E4" i="5" s="1"/>
  <c r="D7" i="3"/>
  <c r="D10" i="3" s="1"/>
  <c r="D17" i="3" s="1"/>
  <c r="C7" i="3"/>
  <c r="D6" i="6" s="1"/>
  <c r="F6" i="6" s="1"/>
  <c r="G12" i="2"/>
  <c r="E19" i="3" s="1"/>
  <c r="F12" i="2"/>
  <c r="D19" i="3" s="1"/>
  <c r="E12" i="2"/>
  <c r="C19" i="3" s="1"/>
  <c r="B12" i="2"/>
  <c r="C14" i="4" s="1"/>
  <c r="G10" i="2"/>
  <c r="F10" i="2"/>
  <c r="E10" i="2"/>
  <c r="G9" i="2"/>
  <c r="F9" i="2"/>
  <c r="E9" i="2"/>
  <c r="G8" i="2"/>
  <c r="F8" i="2"/>
  <c r="E8" i="2"/>
  <c r="G7" i="2"/>
  <c r="F7" i="2"/>
  <c r="E7" i="2"/>
  <c r="G6" i="2"/>
  <c r="F6" i="2"/>
  <c r="E6" i="2"/>
  <c r="G5" i="2"/>
  <c r="F5" i="2"/>
  <c r="E5" i="2"/>
  <c r="G4" i="2"/>
  <c r="F4" i="2"/>
  <c r="E4" i="2"/>
  <c r="D29" i="1"/>
  <c r="E29" i="1" s="1"/>
  <c r="C29" i="1"/>
  <c r="B29" i="1"/>
  <c r="D28" i="1"/>
  <c r="E28" i="1" s="1"/>
  <c r="C28" i="1"/>
  <c r="B28" i="1"/>
  <c r="D27" i="1"/>
  <c r="E27" i="1" s="1"/>
  <c r="C27" i="1"/>
  <c r="B27" i="1"/>
  <c r="D26" i="1"/>
  <c r="E26" i="1" s="1"/>
  <c r="C26" i="1"/>
  <c r="B26" i="1"/>
  <c r="D25" i="1"/>
  <c r="E25" i="1" s="1"/>
  <c r="C25" i="1"/>
  <c r="B25" i="1"/>
  <c r="D23" i="1"/>
  <c r="E23" i="1" s="1"/>
  <c r="C23" i="1"/>
  <c r="B23" i="1"/>
  <c r="B24" i="1" l="1"/>
  <c r="C24" i="1"/>
  <c r="D24" i="1"/>
  <c r="E24" i="1" s="1"/>
  <c r="E6" i="5"/>
  <c r="E7" i="5" s="1"/>
  <c r="E10" i="3"/>
  <c r="E17" i="3" s="1"/>
  <c r="E6" i="6"/>
  <c r="C4" i="4"/>
  <c r="C7" i="4" s="1"/>
  <c r="D4" i="4"/>
  <c r="D7" i="4" s="1"/>
  <c r="E4" i="4"/>
  <c r="E7" i="4" s="1"/>
  <c r="C4" i="5"/>
  <c r="D4" i="5"/>
  <c r="B22" i="1"/>
  <c r="C22" i="1"/>
  <c r="D22" i="1"/>
  <c r="C10" i="3"/>
  <c r="C17" i="3" s="1"/>
  <c r="C6" i="5" l="1"/>
  <c r="C7" i="5" s="1"/>
  <c r="E8" i="4"/>
  <c r="E9" i="4"/>
  <c r="E12" i="4" s="1"/>
  <c r="E8" i="6"/>
  <c r="D8" i="4"/>
  <c r="D9" i="4"/>
  <c r="D12" i="4" s="1"/>
  <c r="D8" i="6"/>
  <c r="F8" i="6" s="1"/>
  <c r="C8" i="4"/>
  <c r="C9" i="4"/>
  <c r="C12" i="4" s="1"/>
  <c r="D6" i="5"/>
  <c r="D7" i="5" s="1"/>
  <c r="E22" i="1"/>
  <c r="E12" i="5"/>
  <c r="E11" i="5"/>
  <c r="C23" i="3"/>
  <c r="D18" i="3"/>
  <c r="E13" i="4"/>
  <c r="E11" i="4"/>
  <c r="E20" i="3"/>
  <c r="D23" i="3"/>
  <c r="F4" i="6"/>
  <c r="D4" i="6"/>
  <c r="C18" i="3"/>
  <c r="D13" i="5"/>
  <c r="D14" i="5"/>
  <c r="C12" i="5"/>
  <c r="C11" i="5"/>
  <c r="E18" i="3"/>
  <c r="E14" i="5"/>
  <c r="E16" i="3"/>
  <c r="E8" i="5"/>
  <c r="E10" i="5"/>
  <c r="E13" i="5"/>
  <c r="D16" i="3"/>
  <c r="D8" i="5"/>
  <c r="D10" i="5"/>
  <c r="D11" i="5"/>
  <c r="D12" i="5"/>
  <c r="D24" i="3"/>
  <c r="D25" i="3"/>
  <c r="E23" i="3"/>
  <c r="C16" i="3"/>
  <c r="C8" i="5"/>
  <c r="C10" i="5"/>
  <c r="C13" i="5"/>
  <c r="C14" i="5"/>
  <c r="E4" i="6"/>
  <c r="C20" i="3"/>
  <c r="C11" i="4"/>
  <c r="C13" i="4"/>
  <c r="C18" i="4"/>
  <c r="D18" i="4"/>
  <c r="E18" i="4"/>
  <c r="C25" i="3"/>
  <c r="C24" i="3"/>
  <c r="E24" i="3"/>
  <c r="E25" i="3"/>
  <c r="D20" i="3"/>
  <c r="D11" i="4"/>
  <c r="D13" i="4"/>
</calcChain>
</file>

<file path=xl/sharedStrings.xml><?xml version="1.0" encoding="utf-8"?>
<sst xmlns="http://schemas.openxmlformats.org/spreadsheetml/2006/main" count="200" uniqueCount="185">
  <si>
    <t>PRÉVISIONNEL FINANCIER &amp; MODÈLE BANCAIRE 36 MOIS (CGNC MAROC)</t>
  </si>
  <si>
    <t>Modélisation Financière &amp; Audit de Faisabilité | Azizi Amine — Cabinet de Conseil &amp; Ingénierie Financière (Casablanca)</t>
  </si>
  <si>
    <t>⚠️ AVERTISSEMENT COMITÉ DE CRÉDIT &amp; CRI : Tout dossier bancaire au Maroc nécessite une cohérence stricte entre BFR, DSCR et CAPEX.</t>
  </si>
  <si>
    <t>1. PARAMÈTRES GÉNÉRAUX DU PROJET</t>
  </si>
  <si>
    <t>Paramètre / Variable</t>
  </si>
  <si>
    <t>Valeur / Hypothèse</t>
  </si>
  <si>
    <t>Unité</t>
  </si>
  <si>
    <t>Norme / Commentaire</t>
  </si>
  <si>
    <t>Secteur d'activité</t>
  </si>
  <si>
    <t>Industrie / Services / Commerce</t>
  </si>
  <si>
    <t>Texte</t>
  </si>
  <si>
    <t>Adapter selon votre projet</t>
  </si>
  <si>
    <t>Régime fiscal</t>
  </si>
  <si>
    <t>Société Soumise à l'IS (SARL / SAS)</t>
  </si>
  <si>
    <t>Option</t>
  </si>
  <si>
    <t>Barème progressif CGI Maroc</t>
  </si>
  <si>
    <t>Taux d'IS applicable (PME standard)</t>
  </si>
  <si>
    <t>%</t>
  </si>
  <si>
    <t>Taux de référence PME bénéficiaire</t>
  </si>
  <si>
    <t>Cotisation Minimale (Si déficit)</t>
  </si>
  <si>
    <t>0,50% du CA HT (art. 144 CGI)</t>
  </si>
  <si>
    <t>Charges Sociales Patronales (CNSS + AMO)</t>
  </si>
  <si>
    <t>21,09% de la masse salariale brute</t>
  </si>
  <si>
    <t>Délai de crédit accordé aux Clients</t>
  </si>
  <si>
    <t>Jours</t>
  </si>
  <si>
    <t>Norme légale Loi 69-21 (max 120j)</t>
  </si>
  <si>
    <t>Délai de règlement Fournisseurs</t>
  </si>
  <si>
    <t>Délai de paiement moyen négocié</t>
  </si>
  <si>
    <t>Stock moyen de sécurité</t>
  </si>
  <si>
    <t>Rotation des stocks matières / marchandises</t>
  </si>
  <si>
    <t>Taux d'emprunt bancaire moyen</t>
  </si>
  <si>
    <t>Taux d'intérêt bancaire moyen CT/MT</t>
  </si>
  <si>
    <t>Durée de l'emprunt bancaire</t>
  </si>
  <si>
    <t>Années</t>
  </si>
  <si>
    <t>Durée d'amortissement du crédit bancaire</t>
  </si>
  <si>
    <t>2. SYNTHÈSE DES GRANDS ÉQUILIBRES (3 ANS)</t>
  </si>
  <si>
    <t>Indicateur Clé (MAD)</t>
  </si>
  <si>
    <t>Année 1 (N)</t>
  </si>
  <si>
    <t>Année 2 (N+1)</t>
  </si>
  <si>
    <t>Année 3 (N+2)</t>
  </si>
  <si>
    <t>Évolution N+2 vs N</t>
  </si>
  <si>
    <t>Chiffre d'Affaires HT</t>
  </si>
  <si>
    <t>Marge Brute Globale</t>
  </si>
  <si>
    <t>Excédent Brut d'Exploitation (EBITDA)</t>
  </si>
  <si>
    <t>Résultat d'Exploitation (EBIT)</t>
  </si>
  <si>
    <t>Résultat Net Comptable</t>
  </si>
  <si>
    <t>Capacité d'Autofinancement (CAF)</t>
  </si>
  <si>
    <t>Seuil de Rentabilité (Point Mort MAD)</t>
  </si>
  <si>
    <t>Solde de Trésorerie Fin d'Année</t>
  </si>
  <si>
    <t>PROGRAMME D'INVESTISSEMENT (CAPEX) &amp; AMORTISSEMENTS CGNC</t>
  </si>
  <si>
    <t>Poste d'Immobilisation (CGNC)</t>
  </si>
  <si>
    <t>Coût d'Acquisition HT</t>
  </si>
  <si>
    <t>Durée (Ans)</t>
  </si>
  <si>
    <t>Taux Amort.</t>
  </si>
  <si>
    <t>Dotation An 1</t>
  </si>
  <si>
    <t>Dotation An 2</t>
  </si>
  <si>
    <t>Dotation An 3</t>
  </si>
  <si>
    <t>Frais de constitution &amp; préliminaires</t>
  </si>
  <si>
    <t>Frais de recherche, études &amp; licences</t>
  </si>
  <si>
    <t>Constructions &amp; Aménagements de locaux</t>
  </si>
  <si>
    <t>Matériel industriel, machines &amp; équipements</t>
  </si>
  <si>
    <t>Matériel de transport / véhicules</t>
  </si>
  <si>
    <t>Matériel informatique &amp; serveurs</t>
  </si>
  <si>
    <t>Mobilier de bureau &amp; agencement</t>
  </si>
  <si>
    <t>Dépôts &amp; Cautionnements (Non amortissable)</t>
  </si>
  <si>
    <t>TOTAL INVESTISSEMENTS (CAPEX)</t>
  </si>
  <si>
    <t>COMPTE DE PRODUITS ET CHARGES PRÉVISIONNEL (CGNC - 36 MOIS)</t>
  </si>
  <si>
    <t>Rubrique Comptable (Plan Comptable Marocain)</t>
  </si>
  <si>
    <t>Réf. CGNC</t>
  </si>
  <si>
    <t>I. PRODUITS D'EXPLOITATION</t>
  </si>
  <si>
    <t>Ventes de marchandises / Produits finis</t>
  </si>
  <si>
    <t>7111/7121</t>
  </si>
  <si>
    <t>Prestations de services</t>
  </si>
  <si>
    <t>7124</t>
  </si>
  <si>
    <t>TOTAL DES PRODUITS D'EXPLOITATION (I)</t>
  </si>
  <si>
    <t>71</t>
  </si>
  <si>
    <t>II. CHARGES D'EXPLOITATION</t>
  </si>
  <si>
    <t>Achats consommés de matières &amp; marchandises</t>
  </si>
  <si>
    <t>611/612</t>
  </si>
  <si>
    <t>MARGE BRUTE D'EXPLOITATION</t>
  </si>
  <si>
    <t>Autres charges externes (Loyers, Assurances, Entretien)</t>
  </si>
  <si>
    <t>613/614</t>
  </si>
  <si>
    <t>Frais de publicité &amp; marketing digital</t>
  </si>
  <si>
    <t>6144</t>
  </si>
  <si>
    <t>Honoraires juridiques, comptables &amp; audit</t>
  </si>
  <si>
    <t>6136</t>
  </si>
  <si>
    <t>Impôts, taxes et droits assimilés</t>
  </si>
  <si>
    <t>616</t>
  </si>
  <si>
    <t>Charges de personnel (Salaires bruts)</t>
  </si>
  <si>
    <t>6171</t>
  </si>
  <si>
    <t>Charges sociales patronales (CNSS / AMO)</t>
  </si>
  <si>
    <t>6174</t>
  </si>
  <si>
    <t>VALEUR AJOUTÉE (VA)</t>
  </si>
  <si>
    <t>EXCÉDENT BRUT D'EXPLOITATION (EBITDA)</t>
  </si>
  <si>
    <t>Dotations d'exploitation aux amortissements</t>
  </si>
  <si>
    <t>619</t>
  </si>
  <si>
    <t>RÉSULTAT D'EXPLOITATION (EBIT) (I - II)</t>
  </si>
  <si>
    <t>81</t>
  </si>
  <si>
    <t>III. RÉSULTAT FINANCIER</t>
  </si>
  <si>
    <t>Charges d'intérêts d'emprunts bancaires</t>
  </si>
  <si>
    <t>6311</t>
  </si>
  <si>
    <t>RÉSULTAT COURANT AVANT IMPÔTS (RCAI)</t>
  </si>
  <si>
    <t>83</t>
  </si>
  <si>
    <t>IV. IMPÔT SUR LES SOCIÉTÉS (IS)</t>
  </si>
  <si>
    <t>6701</t>
  </si>
  <si>
    <t>V. RÉSULTAT NET COMPTABLE DE L'EXERCICE</t>
  </si>
  <si>
    <t>86</t>
  </si>
  <si>
    <t>BESOIN EN FONDS DE ROULEMENT (BFR) &amp; PLAN DE TRÉSORERIE</t>
  </si>
  <si>
    <t>Élément du BFR &amp; Flux de Trésorerie</t>
  </si>
  <si>
    <t>Formule / Règle</t>
  </si>
  <si>
    <t>Créances Clients TTC (Actif Circulant)</t>
  </si>
  <si>
    <t>CA TTC * (Délais Clients / 360)</t>
  </si>
  <si>
    <t>Stock Moyen de Sécurité (Actif Circulant)</t>
  </si>
  <si>
    <t>Achats HT * (Jours Stock / 360)</t>
  </si>
  <si>
    <t>Dettes Fournisseurs TTC (Passif Circulant)</t>
  </si>
  <si>
    <t>Achats TTC * (Délais Fourn. / 360)</t>
  </si>
  <si>
    <t>BESOIN EN FONDS DE ROULEMENT GLOBAL (BFR)</t>
  </si>
  <si>
    <t>Créances + Stocks - Dettes</t>
  </si>
  <si>
    <t>BFR Exprimé en Jours de Chiffre d'Affaires</t>
  </si>
  <si>
    <t>(BFR / CA HT) * 360</t>
  </si>
  <si>
    <t>Variation Annuelle du BFR</t>
  </si>
  <si>
    <t>BFR(N) - BFR(N-1)</t>
  </si>
  <si>
    <t>--- FLUX DE TRÉSORERIE ANNUEL ---</t>
  </si>
  <si>
    <t>Résultat Net + Dotations</t>
  </si>
  <si>
    <t>Variation du BFR (- Déduction)</t>
  </si>
  <si>
    <t>- Variation BFR</t>
  </si>
  <si>
    <t>Flux de Trésorerie d'Exploitation (FTE)</t>
  </si>
  <si>
    <t>CAF - Variation BFR</t>
  </si>
  <si>
    <t>Investissements Réalisés (CAPEX)</t>
  </si>
  <si>
    <t>Nouveaux investissements</t>
  </si>
  <si>
    <t>Remboursement du Capital d'Emprunt</t>
  </si>
  <si>
    <t>Principal crédit remboursé</t>
  </si>
  <si>
    <t>Apport en Capital / Fonds Propres Début</t>
  </si>
  <si>
    <t>Fonds propres initiaux</t>
  </si>
  <si>
    <t>Emprunt Bancaire Débloqué Début</t>
  </si>
  <si>
    <t>Financement bancaire débloqué</t>
  </si>
  <si>
    <t>SOLDE DE TRÉSORERIE FIN D'ANNÉE</t>
  </si>
  <si>
    <t>Cumul de trésorerie nette</t>
  </si>
  <si>
    <t>ANALYSE DU SEUIL DE RENTABILITÉ &amp; POINT MORT D'EXPLOITATION</t>
  </si>
  <si>
    <t>Composante de Coût (Modèle Direct Costing)</t>
  </si>
  <si>
    <t>Définition / Base</t>
  </si>
  <si>
    <t>Chiffre d'Affaires HT (CA)</t>
  </si>
  <si>
    <t>Total des ventes prévisionnelles</t>
  </si>
  <si>
    <t>Total Charges Variables (Achats + Com. + Marketing variable)</t>
  </si>
  <si>
    <t>Charges proportionnelles au volume</t>
  </si>
  <si>
    <t>Marge sur Coûts Variables (MCV)</t>
  </si>
  <si>
    <t>CA - Charges Variables</t>
  </si>
  <si>
    <t>Taux de Marge sur Coûts Variables (TMCV)</t>
  </si>
  <si>
    <t>MCV / CA HT</t>
  </si>
  <si>
    <t>Total Charges Fixes Annuelles (Structure + Salaires + Amort.)</t>
  </si>
  <si>
    <t>Loyers + Personnel + Dotations + Intérêts</t>
  </si>
  <si>
    <t>--- RÉSULTATS DU SEUIL DE RENTABILITÉ ---</t>
  </si>
  <si>
    <t>SEUIL DE RENTABILITÉ EN VALEUR (SR MAD)</t>
  </si>
  <si>
    <t>Charges Fixes / TMCV</t>
  </si>
  <si>
    <t>POINT MORT EN JOURS D'EXPLOITATION</t>
  </si>
  <si>
    <t>(SR / CA HT) * 360 Jours</t>
  </si>
  <si>
    <t>MOIS DU POINT MORT (Date de bascule)</t>
  </si>
  <si>
    <t>Mois où le projet devient rentable</t>
  </si>
  <si>
    <t>MARGE DE SÉCURITÉ FINANCIÈRE (MAD)</t>
  </si>
  <si>
    <t>CA HT - Seuil de Rentabilité</t>
  </si>
  <si>
    <t>INDICE DE SÉCURITÉ (%)</t>
  </si>
  <si>
    <t>Marge de Sécurité / CA HT</t>
  </si>
  <si>
    <t>DIAGNOSTIC &amp; AUDIT DES RATIOS PRUDENTIELS BANCAIRES (TAMWILCOM &amp; BANQUES)</t>
  </si>
  <si>
    <t>Ratio Prudentiel Bancaire</t>
  </si>
  <si>
    <t>Formule Normative</t>
  </si>
  <si>
    <t>Norme Bancaire Maroc</t>
  </si>
  <si>
    <t>Année 1</t>
  </si>
  <si>
    <t>Année 2</t>
  </si>
  <si>
    <t>Verdict Risque Comité</t>
  </si>
  <si>
    <t>Ratio de Couverture de la Dette (DSCR)</t>
  </si>
  <si>
    <t>CAF / Annuité Remboursement</t>
  </si>
  <si>
    <t>&gt;= 1.30x</t>
  </si>
  <si>
    <t>Ratio d'Endettement Global (Gearing)</t>
  </si>
  <si>
    <t>Dettes Financières / Fonds Propres</t>
  </si>
  <si>
    <t>&lt;= 2.50x</t>
  </si>
  <si>
    <t>Marge Nette de Rentabilité</t>
  </si>
  <si>
    <t>Résultat Net / CA HT</t>
  </si>
  <si>
    <t>&gt;= 5.00%</t>
  </si>
  <si>
    <t>Rentabilité des Fonds Propres (ROE)</t>
  </si>
  <si>
    <t>Résultat Net / Fonds Propres</t>
  </si>
  <si>
    <t>&gt;= 15.00%</t>
  </si>
  <si>
    <t>Poids du BFR sur l'Activité</t>
  </si>
  <si>
    <t>BFR / CA HT</t>
  </si>
  <si>
    <t>&lt;= 25.00%</t>
  </si>
  <si>
    <t>Besoin d'un audit contradictoire ou d'un montage complet de dossier bancaire / subvention CRI ?
Contactez le cabinet Azizi Amine Solutions : business@aziziamine.com | https://aziziamine.com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</si>
</sst>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MAD&quot;"/>
    <numFmt numFmtId="165" formatCode="0.0%"/>
    <numFmt numFmtId="166" formatCode="0.0\ &quot;Jours&quot;"/>
    <numFmt numFmtId="167" formatCode="0.0"/>
    <numFmt numFmtId="168" formatCode="0.00&quot;x&quot;"/>
  </numFmts>
  <fonts count="8" x14ac:knownFonts="1">
    <font>
      <sz val="11"/>
      <color theme="1"/>
      <name val="Calibri"/>
      <family val="2"/>
      <scheme val="minor"/>
    </font>
    <font>
      <b/>
      <sz val="15"/>
      <color rgb="FFFFFFFF"/>
      <name val="Segoe UI"/>
      <family val="2"/>
    </font>
    <font>
      <i/>
      <sz val="9"/>
      <color rgb="FFFFFFFF"/>
      <name val="Segoe UI"/>
      <family val="2"/>
    </font>
    <font>
      <b/>
      <sz val="9"/>
      <color rgb="FF991B1B"/>
      <name val="Segoe UI"/>
      <family val="2"/>
    </font>
    <font>
      <b/>
      <sz val="11"/>
      <color rgb="FF0F172A"/>
      <name val="Segoe UI"/>
      <family val="2"/>
    </font>
    <font>
      <b/>
      <sz val="10"/>
      <color rgb="FFFFFFFF"/>
      <name val="Segoe UI"/>
      <family val="2"/>
    </font>
    <font>
      <sz val="10"/>
      <color rgb="FF334155"/>
      <name val="Segoe UI"/>
      <family val="2"/>
    </font>
    <font>
      <b/>
      <sz val="10"/>
      <color rgb="FF0F172A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0F172A"/>
      </patternFill>
    </fill>
    <fill>
      <patternFill patternType="solid">
        <fgColor rgb="FFB89745"/>
        <bgColor rgb="FFB89745"/>
      </patternFill>
    </fill>
    <fill>
      <patternFill patternType="solid">
        <fgColor rgb="FFF7F3E8"/>
        <bgColor rgb="FFF7F3E8"/>
      </patternFill>
    </fill>
    <fill>
      <patternFill patternType="solid">
        <fgColor rgb="FFE2E8F0"/>
        <bgColor rgb="FFE2E8F0"/>
      </patternFill>
    </fill>
    <fill>
      <patternFill patternType="solid">
        <fgColor rgb="FFF8FAFC"/>
        <b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10" fontId="6" fillId="0" borderId="1" xfId="0" applyNumberFormat="1" applyFont="1" applyBorder="1"/>
    <xf numFmtId="3" fontId="6" fillId="0" borderId="1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  <xf numFmtId="165" fontId="7" fillId="0" borderId="1" xfId="0" applyNumberFormat="1" applyFont="1" applyBorder="1"/>
    <xf numFmtId="164" fontId="6" fillId="0" borderId="1" xfId="0" applyNumberFormat="1" applyFont="1" applyBorder="1"/>
    <xf numFmtId="165" fontId="6" fillId="0" borderId="1" xfId="0" applyNumberFormat="1" applyFont="1" applyBorder="1"/>
    <xf numFmtId="0" fontId="7" fillId="5" borderId="2" xfId="0" applyFont="1" applyFill="1" applyBorder="1"/>
    <xf numFmtId="164" fontId="7" fillId="5" borderId="2" xfId="0" applyNumberFormat="1" applyFont="1" applyFill="1" applyBorder="1"/>
    <xf numFmtId="0" fontId="0" fillId="5" borderId="2" xfId="0" applyFill="1" applyBorder="1"/>
    <xf numFmtId="0" fontId="7" fillId="6" borderId="1" xfId="0" applyFont="1" applyFill="1" applyBorder="1"/>
    <xf numFmtId="0" fontId="7" fillId="4" borderId="1" xfId="0" applyFont="1" applyFill="1" applyBorder="1"/>
    <xf numFmtId="164" fontId="7" fillId="4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166" fontId="6" fillId="0" borderId="1" xfId="0" applyNumberFormat="1" applyFon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167" fontId="7" fillId="0" borderId="1" xfId="0" applyNumberFormat="1" applyFont="1" applyBorder="1"/>
    <xf numFmtId="168" fontId="6" fillId="0" borderId="1" xfId="0" applyNumberFormat="1" applyFont="1" applyBorder="1"/>
    <xf numFmtId="0" fontId="7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3" workbookViewId="0">
      <selection activeCell="B12" sqref="B12"/>
    </sheetView>
  </sheetViews>
  <sheetFormatPr defaultRowHeight="14.4" x14ac:dyDescent="0.3"/>
  <cols>
    <col min="1" max="1" width="38" customWidth="1"/>
    <col min="2" max="4" width="59" customWidth="1"/>
    <col min="5" max="5" width="21" customWidth="1"/>
    <col min="6" max="7" width="14" customWidth="1"/>
  </cols>
  <sheetData>
    <row r="1" spans="1:7" x14ac:dyDescent="0.3">
      <c r="A1" s="28" t="s">
        <v>0</v>
      </c>
      <c r="B1" s="26"/>
      <c r="C1" s="26"/>
      <c r="D1" s="26"/>
      <c r="E1" s="26"/>
      <c r="F1" s="26"/>
      <c r="G1" s="26"/>
    </row>
    <row r="2" spans="1:7" x14ac:dyDescent="0.3">
      <c r="A2" s="26"/>
      <c r="B2" s="26"/>
      <c r="C2" s="26"/>
      <c r="D2" s="26"/>
      <c r="E2" s="26"/>
      <c r="F2" s="26"/>
      <c r="G2" s="26"/>
    </row>
    <row r="3" spans="1:7" x14ac:dyDescent="0.3">
      <c r="A3" s="25" t="s">
        <v>1</v>
      </c>
      <c r="B3" s="26"/>
      <c r="C3" s="26"/>
      <c r="D3" s="26"/>
      <c r="E3" s="26"/>
      <c r="F3" s="26"/>
      <c r="G3" s="26"/>
    </row>
    <row r="5" spans="1:7" x14ac:dyDescent="0.3">
      <c r="A5" s="27" t="s">
        <v>2</v>
      </c>
      <c r="B5" s="26"/>
      <c r="C5" s="26"/>
      <c r="D5" s="26"/>
      <c r="E5" s="26"/>
      <c r="F5" s="26"/>
      <c r="G5" s="26"/>
    </row>
    <row r="7" spans="1:7" ht="16.8" x14ac:dyDescent="0.4">
      <c r="A7" s="1" t="s">
        <v>3</v>
      </c>
    </row>
    <row r="8" spans="1:7" ht="15" x14ac:dyDescent="0.3">
      <c r="A8" s="2" t="s">
        <v>4</v>
      </c>
      <c r="B8" s="2" t="s">
        <v>5</v>
      </c>
      <c r="C8" s="2" t="s">
        <v>6</v>
      </c>
      <c r="D8" s="2" t="s">
        <v>7</v>
      </c>
    </row>
    <row r="9" spans="1:7" ht="15" x14ac:dyDescent="0.35">
      <c r="A9" s="3" t="s">
        <v>8</v>
      </c>
      <c r="B9" s="3" t="s">
        <v>9</v>
      </c>
      <c r="C9" s="3" t="s">
        <v>10</v>
      </c>
      <c r="D9" s="3" t="s">
        <v>11</v>
      </c>
    </row>
    <row r="10" spans="1:7" ht="15" x14ac:dyDescent="0.35">
      <c r="A10" s="3" t="s">
        <v>12</v>
      </c>
      <c r="B10" s="3" t="s">
        <v>13</v>
      </c>
      <c r="C10" s="3" t="s">
        <v>14</v>
      </c>
      <c r="D10" s="3" t="s">
        <v>15</v>
      </c>
    </row>
    <row r="11" spans="1:7" ht="15" x14ac:dyDescent="0.35">
      <c r="A11" s="3" t="s">
        <v>16</v>
      </c>
      <c r="B11" s="4">
        <v>0</v>
      </c>
      <c r="C11" s="3" t="s">
        <v>17</v>
      </c>
      <c r="D11" s="3" t="s">
        <v>18</v>
      </c>
    </row>
    <row r="12" spans="1:7" ht="15" x14ac:dyDescent="0.35">
      <c r="A12" s="3" t="s">
        <v>19</v>
      </c>
      <c r="B12" s="4">
        <v>5.0000000000000001E-3</v>
      </c>
      <c r="C12" s="3" t="s">
        <v>17</v>
      </c>
      <c r="D12" s="3" t="s">
        <v>20</v>
      </c>
    </row>
    <row r="13" spans="1:7" ht="15" x14ac:dyDescent="0.35">
      <c r="A13" s="3" t="s">
        <v>21</v>
      </c>
      <c r="B13" s="4">
        <v>0.2109</v>
      </c>
      <c r="C13" s="3" t="s">
        <v>17</v>
      </c>
      <c r="D13" s="3" t="s">
        <v>22</v>
      </c>
    </row>
    <row r="14" spans="1:7" ht="15" x14ac:dyDescent="0.35">
      <c r="A14" s="3" t="s">
        <v>23</v>
      </c>
      <c r="B14" s="5">
        <v>60</v>
      </c>
      <c r="C14" s="3" t="s">
        <v>24</v>
      </c>
      <c r="D14" s="3" t="s">
        <v>25</v>
      </c>
    </row>
    <row r="15" spans="1:7" ht="15" x14ac:dyDescent="0.35">
      <c r="A15" s="3" t="s">
        <v>26</v>
      </c>
      <c r="B15" s="5">
        <v>45</v>
      </c>
      <c r="C15" s="3" t="s">
        <v>24</v>
      </c>
      <c r="D15" s="3" t="s">
        <v>27</v>
      </c>
    </row>
    <row r="16" spans="1:7" ht="15" x14ac:dyDescent="0.35">
      <c r="A16" s="3" t="s">
        <v>28</v>
      </c>
      <c r="B16" s="5">
        <v>30</v>
      </c>
      <c r="C16" s="3" t="s">
        <v>24</v>
      </c>
      <c r="D16" s="3" t="s">
        <v>29</v>
      </c>
    </row>
    <row r="17" spans="1:5" ht="15" x14ac:dyDescent="0.35">
      <c r="A17" s="3" t="s">
        <v>30</v>
      </c>
      <c r="B17" s="4">
        <v>6.5000000000000002E-2</v>
      </c>
      <c r="C17" s="3" t="s">
        <v>17</v>
      </c>
      <c r="D17" s="3" t="s">
        <v>31</v>
      </c>
    </row>
    <row r="18" spans="1:5" ht="15" x14ac:dyDescent="0.35">
      <c r="A18" s="3" t="s">
        <v>32</v>
      </c>
      <c r="B18" s="5">
        <v>5</v>
      </c>
      <c r="C18" s="3" t="s">
        <v>33</v>
      </c>
      <c r="D18" s="3" t="s">
        <v>34</v>
      </c>
    </row>
    <row r="20" spans="1:5" ht="16.8" x14ac:dyDescent="0.4">
      <c r="A20" s="1" t="s">
        <v>35</v>
      </c>
    </row>
    <row r="21" spans="1:5" ht="15" x14ac:dyDescent="0.3">
      <c r="A21" s="2" t="s">
        <v>36</v>
      </c>
      <c r="B21" s="2" t="s">
        <v>37</v>
      </c>
      <c r="C21" s="2" t="s">
        <v>38</v>
      </c>
      <c r="D21" s="2" t="s">
        <v>39</v>
      </c>
      <c r="E21" s="2" t="s">
        <v>40</v>
      </c>
    </row>
    <row r="22" spans="1:5" ht="15" x14ac:dyDescent="0.35">
      <c r="A22" s="6" t="s">
        <v>41</v>
      </c>
      <c r="B22" s="7">
        <f>'3_COMPTE_RÉSULTAT_36M'!C7</f>
        <v>3650000</v>
      </c>
      <c r="C22" s="7">
        <f>'3_COMPTE_RÉSULTAT_36M'!D7</f>
        <v>5450000</v>
      </c>
      <c r="D22" s="7">
        <f>'3_COMPTE_RÉSULTAT_36M'!E7</f>
        <v>7350000</v>
      </c>
      <c r="E22" s="8">
        <f t="shared" ref="E22:E29" si="0">(D22-B22)/B22</f>
        <v>1.0136986301369864</v>
      </c>
    </row>
    <row r="23" spans="1:5" ht="15" x14ac:dyDescent="0.35">
      <c r="A23" s="3" t="s">
        <v>42</v>
      </c>
      <c r="B23" s="9">
        <f>'3_COMPTE_RÉSULTAT_36M'!C11</f>
        <v>380000</v>
      </c>
      <c r="C23" s="9">
        <f>'3_COMPTE_RÉSULTAT_36M'!D11</f>
        <v>440000</v>
      </c>
      <c r="D23" s="9">
        <f>'3_COMPTE_RÉSULTAT_36M'!E11</f>
        <v>510000</v>
      </c>
      <c r="E23" s="10">
        <f t="shared" si="0"/>
        <v>0.34210526315789475</v>
      </c>
    </row>
    <row r="24" spans="1:5" ht="15" x14ac:dyDescent="0.35">
      <c r="A24" s="3" t="s">
        <v>43</v>
      </c>
      <c r="B24" s="9">
        <f>'3_COMPTE_RÉSULTAT_36M'!C19</f>
        <v>307497.5</v>
      </c>
      <c r="C24" s="9">
        <f>'3_COMPTE_RÉSULTAT_36M'!D19</f>
        <v>307497.5</v>
      </c>
      <c r="D24" s="9">
        <f>'3_COMPTE_RÉSULTAT_36M'!E19</f>
        <v>307497.5</v>
      </c>
      <c r="E24" s="10">
        <f t="shared" si="0"/>
        <v>0</v>
      </c>
    </row>
    <row r="25" spans="1:5" ht="15" x14ac:dyDescent="0.35">
      <c r="A25" s="3" t="s">
        <v>44</v>
      </c>
      <c r="B25" s="9">
        <f>'3_COMPTE_RÉSULTAT_36M'!C22</f>
        <v>72000</v>
      </c>
      <c r="C25" s="9">
        <f>'3_COMPTE_RÉSULTAT_36M'!D22</f>
        <v>58000</v>
      </c>
      <c r="D25" s="9">
        <f>'3_COMPTE_RÉSULTAT_36M'!E22</f>
        <v>42000</v>
      </c>
      <c r="E25" s="10">
        <f t="shared" si="0"/>
        <v>-0.41666666666666669</v>
      </c>
    </row>
    <row r="26" spans="1:5" ht="15" x14ac:dyDescent="0.35">
      <c r="A26" s="6" t="s">
        <v>45</v>
      </c>
      <c r="B26" s="7">
        <f>'3_COMPTE_RÉSULTAT_36M'!C28</f>
        <v>0</v>
      </c>
      <c r="C26" s="7">
        <f>'3_COMPTE_RÉSULTAT_36M'!D28</f>
        <v>0</v>
      </c>
      <c r="D26" s="7">
        <f>'3_COMPTE_RÉSULTAT_36M'!E28</f>
        <v>0</v>
      </c>
      <c r="E26" s="8" t="e">
        <f t="shared" si="0"/>
        <v>#DIV/0!</v>
      </c>
    </row>
    <row r="27" spans="1:5" ht="15" x14ac:dyDescent="0.35">
      <c r="A27" s="3" t="s">
        <v>46</v>
      </c>
      <c r="B27" s="9">
        <f>'3_COMPTE_RÉSULTAT_36M'!C28+'3_COMPTE_RÉSULTAT_36M'!C21</f>
        <v>0</v>
      </c>
      <c r="C27" s="9">
        <f>'3_COMPTE_RÉSULTAT_36M'!D28+'3_COMPTE_RÉSULTAT_36M'!D21</f>
        <v>0</v>
      </c>
      <c r="D27" s="9">
        <f>'3_COMPTE_RÉSULTAT_36M'!E28+'3_COMPTE_RÉSULTAT_36M'!E21</f>
        <v>0</v>
      </c>
      <c r="E27" s="10" t="e">
        <f t="shared" si="0"/>
        <v>#DIV/0!</v>
      </c>
    </row>
    <row r="28" spans="1:5" ht="15" x14ac:dyDescent="0.35">
      <c r="A28" s="3" t="s">
        <v>47</v>
      </c>
      <c r="B28" s="9">
        <f>'5_SEUIL_RENTABILITÉ'!C15</f>
        <v>0</v>
      </c>
      <c r="C28" s="9">
        <f>'5_SEUIL_RENTABILITÉ'!D15</f>
        <v>0</v>
      </c>
      <c r="D28" s="9">
        <f>'5_SEUIL_RENTABILITÉ'!E15</f>
        <v>0</v>
      </c>
      <c r="E28" s="10" t="e">
        <f t="shared" si="0"/>
        <v>#DIV/0!</v>
      </c>
    </row>
    <row r="29" spans="1:5" ht="15" x14ac:dyDescent="0.35">
      <c r="A29" s="3" t="s">
        <v>48</v>
      </c>
      <c r="B29" s="9">
        <f>'4_BFR_&amp;_TRÉSORERIE'!C24</f>
        <v>0</v>
      </c>
      <c r="C29" s="9">
        <f>'4_BFR_&amp;_TRÉSORERIE'!D24</f>
        <v>0</v>
      </c>
      <c r="D29" s="9">
        <f>'4_BFR_&amp;_TRÉSORERIE'!E24</f>
        <v>0</v>
      </c>
      <c r="E29" s="10" t="e">
        <f t="shared" si="0"/>
        <v>#DIV/0!</v>
      </c>
    </row>
  </sheetData>
  <mergeCells count="3">
    <mergeCell ref="A3:G3"/>
    <mergeCell ref="A5:G5"/>
    <mergeCell ref="A1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G1"/>
    </sheetView>
  </sheetViews>
  <sheetFormatPr defaultRowHeight="14.4" x14ac:dyDescent="0.3"/>
  <cols>
    <col min="1" max="1" width="38" customWidth="1"/>
    <col min="2" max="2" width="24" customWidth="1"/>
    <col min="3" max="4" width="14" customWidth="1"/>
    <col min="5" max="7" width="16" customWidth="1"/>
  </cols>
  <sheetData>
    <row r="1" spans="1:7" ht="23.4" x14ac:dyDescent="0.3">
      <c r="A1" s="28" t="s">
        <v>49</v>
      </c>
      <c r="B1" s="26"/>
      <c r="C1" s="26"/>
      <c r="D1" s="26"/>
      <c r="E1" s="26"/>
      <c r="F1" s="26"/>
      <c r="G1" s="26"/>
    </row>
    <row r="3" spans="1:7" ht="15" x14ac:dyDescent="0.3">
      <c r="A3" s="2" t="s">
        <v>50</v>
      </c>
      <c r="B3" s="2" t="s">
        <v>51</v>
      </c>
      <c r="C3" s="2" t="s">
        <v>52</v>
      </c>
      <c r="D3" s="2" t="s">
        <v>53</v>
      </c>
      <c r="E3" s="2" t="s">
        <v>54</v>
      </c>
      <c r="F3" s="2" t="s">
        <v>55</v>
      </c>
      <c r="G3" s="2" t="s">
        <v>56</v>
      </c>
    </row>
    <row r="4" spans="1:7" ht="15" x14ac:dyDescent="0.35">
      <c r="A4" s="3" t="s">
        <v>57</v>
      </c>
      <c r="B4" s="9">
        <v>25000</v>
      </c>
      <c r="C4" s="3">
        <v>5</v>
      </c>
      <c r="D4" s="4">
        <v>0.2</v>
      </c>
      <c r="E4" s="9">
        <f t="shared" ref="E4:E10" si="0">B4*D4</f>
        <v>5000</v>
      </c>
      <c r="F4" s="9">
        <f t="shared" ref="F4:F10" si="1">B4*D4</f>
        <v>5000</v>
      </c>
      <c r="G4" s="9">
        <f t="shared" ref="G4:G10" si="2">B4*D4</f>
        <v>5000</v>
      </c>
    </row>
    <row r="5" spans="1:7" ht="15" x14ac:dyDescent="0.35">
      <c r="A5" s="3" t="s">
        <v>58</v>
      </c>
      <c r="B5" s="9">
        <v>60000</v>
      </c>
      <c r="C5" s="3">
        <v>5</v>
      </c>
      <c r="D5" s="4">
        <v>0.2</v>
      </c>
      <c r="E5" s="9">
        <f t="shared" si="0"/>
        <v>12000</v>
      </c>
      <c r="F5" s="9">
        <f t="shared" si="1"/>
        <v>12000</v>
      </c>
      <c r="G5" s="9">
        <f t="shared" si="2"/>
        <v>12000</v>
      </c>
    </row>
    <row r="6" spans="1:7" ht="15" x14ac:dyDescent="0.35">
      <c r="A6" s="3" t="s">
        <v>59</v>
      </c>
      <c r="B6" s="9">
        <v>450000</v>
      </c>
      <c r="C6" s="3">
        <v>10</v>
      </c>
      <c r="D6" s="4">
        <v>0.1</v>
      </c>
      <c r="E6" s="9">
        <f t="shared" si="0"/>
        <v>45000</v>
      </c>
      <c r="F6" s="9">
        <f t="shared" si="1"/>
        <v>45000</v>
      </c>
      <c r="G6" s="9">
        <f t="shared" si="2"/>
        <v>45000</v>
      </c>
    </row>
    <row r="7" spans="1:7" ht="15" x14ac:dyDescent="0.35">
      <c r="A7" s="3" t="s">
        <v>60</v>
      </c>
      <c r="B7" s="9">
        <v>850000</v>
      </c>
      <c r="C7" s="3">
        <v>5</v>
      </c>
      <c r="D7" s="4">
        <v>0.2</v>
      </c>
      <c r="E7" s="9">
        <f t="shared" si="0"/>
        <v>170000</v>
      </c>
      <c r="F7" s="9">
        <f t="shared" si="1"/>
        <v>170000</v>
      </c>
      <c r="G7" s="9">
        <f t="shared" si="2"/>
        <v>170000</v>
      </c>
    </row>
    <row r="8" spans="1:7" ht="15" x14ac:dyDescent="0.35">
      <c r="A8" s="3" t="s">
        <v>61</v>
      </c>
      <c r="B8" s="9">
        <v>220000</v>
      </c>
      <c r="C8" s="3">
        <v>5</v>
      </c>
      <c r="D8" s="4">
        <v>0.2</v>
      </c>
      <c r="E8" s="9">
        <f t="shared" si="0"/>
        <v>44000</v>
      </c>
      <c r="F8" s="9">
        <f t="shared" si="1"/>
        <v>44000</v>
      </c>
      <c r="G8" s="9">
        <f t="shared" si="2"/>
        <v>44000</v>
      </c>
    </row>
    <row r="9" spans="1:7" ht="15" x14ac:dyDescent="0.35">
      <c r="A9" s="3" t="s">
        <v>62</v>
      </c>
      <c r="B9" s="9">
        <v>75000</v>
      </c>
      <c r="C9" s="3">
        <v>3</v>
      </c>
      <c r="D9" s="4">
        <v>0.33329999999999999</v>
      </c>
      <c r="E9" s="9">
        <f t="shared" si="0"/>
        <v>24997.5</v>
      </c>
      <c r="F9" s="9">
        <f t="shared" si="1"/>
        <v>24997.5</v>
      </c>
      <c r="G9" s="9">
        <f t="shared" si="2"/>
        <v>24997.5</v>
      </c>
    </row>
    <row r="10" spans="1:7" ht="15" x14ac:dyDescent="0.35">
      <c r="A10" s="3" t="s">
        <v>63</v>
      </c>
      <c r="B10" s="9">
        <v>65000</v>
      </c>
      <c r="C10" s="3">
        <v>10</v>
      </c>
      <c r="D10" s="4">
        <v>0.1</v>
      </c>
      <c r="E10" s="9">
        <f t="shared" si="0"/>
        <v>6500</v>
      </c>
      <c r="F10" s="9">
        <f t="shared" si="1"/>
        <v>6500</v>
      </c>
      <c r="G10" s="9">
        <f t="shared" si="2"/>
        <v>6500</v>
      </c>
    </row>
    <row r="11" spans="1:7" ht="15" x14ac:dyDescent="0.35">
      <c r="A11" s="3" t="s">
        <v>64</v>
      </c>
      <c r="B11" s="9">
        <v>40000</v>
      </c>
      <c r="C11" s="3">
        <v>0</v>
      </c>
      <c r="D11" s="4">
        <v>0</v>
      </c>
      <c r="E11" s="9">
        <v>0</v>
      </c>
      <c r="F11" s="9">
        <v>0</v>
      </c>
      <c r="G11" s="9">
        <v>0</v>
      </c>
    </row>
    <row r="12" spans="1:7" ht="15" x14ac:dyDescent="0.35">
      <c r="A12" s="11" t="s">
        <v>65</v>
      </c>
      <c r="B12" s="12">
        <f>SUM(B4:B11)</f>
        <v>1785000</v>
      </c>
      <c r="C12" s="13"/>
      <c r="D12" s="13"/>
      <c r="E12" s="12">
        <f>SUM(E4:E11)</f>
        <v>307497.5</v>
      </c>
      <c r="F12" s="12">
        <f>SUM(F4:F11)</f>
        <v>307497.5</v>
      </c>
      <c r="G12" s="12">
        <f>SUM(G4:G11)</f>
        <v>307497.5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topLeftCell="A4" workbookViewId="0">
      <selection sqref="A1:E1"/>
    </sheetView>
  </sheetViews>
  <sheetFormatPr defaultRowHeight="14.4" x14ac:dyDescent="0.3"/>
  <cols>
    <col min="1" max="1" width="38" customWidth="1"/>
    <col min="2" max="2" width="14" customWidth="1"/>
    <col min="3" max="5" width="76" customWidth="1"/>
  </cols>
  <sheetData>
    <row r="1" spans="1:5" ht="23.4" x14ac:dyDescent="0.3">
      <c r="A1" s="28" t="s">
        <v>66</v>
      </c>
      <c r="B1" s="26"/>
      <c r="C1" s="26"/>
      <c r="D1" s="26"/>
      <c r="E1" s="26"/>
    </row>
    <row r="3" spans="1:5" ht="15" x14ac:dyDescent="0.3">
      <c r="A3" s="2" t="s">
        <v>67</v>
      </c>
      <c r="B3" s="2" t="s">
        <v>68</v>
      </c>
      <c r="C3" s="2" t="s">
        <v>37</v>
      </c>
      <c r="D3" s="2" t="s">
        <v>38</v>
      </c>
      <c r="E3" s="2" t="s">
        <v>39</v>
      </c>
    </row>
    <row r="4" spans="1:5" ht="15" x14ac:dyDescent="0.35">
      <c r="A4" s="14" t="s">
        <v>69</v>
      </c>
      <c r="B4" s="14"/>
      <c r="C4" s="14"/>
      <c r="D4" s="14"/>
      <c r="E4" s="14"/>
    </row>
    <row r="5" spans="1:5" ht="15" x14ac:dyDescent="0.35">
      <c r="A5" s="3" t="s">
        <v>70</v>
      </c>
      <c r="B5" s="3" t="s">
        <v>71</v>
      </c>
      <c r="C5" s="9">
        <v>3200000</v>
      </c>
      <c r="D5" s="9">
        <v>4800000</v>
      </c>
      <c r="E5" s="9">
        <v>6500000</v>
      </c>
    </row>
    <row r="6" spans="1:5" ht="15" x14ac:dyDescent="0.35">
      <c r="A6" s="3" t="s">
        <v>72</v>
      </c>
      <c r="B6" s="3" t="s">
        <v>73</v>
      </c>
      <c r="C6" s="9">
        <v>450000</v>
      </c>
      <c r="D6" s="9">
        <v>650000</v>
      </c>
      <c r="E6" s="9">
        <v>850000</v>
      </c>
    </row>
    <row r="7" spans="1:5" ht="15" x14ac:dyDescent="0.35">
      <c r="A7" s="15" t="s">
        <v>74</v>
      </c>
      <c r="B7" s="15" t="s">
        <v>75</v>
      </c>
      <c r="C7" s="16">
        <f>SUM(C5:C6)</f>
        <v>3650000</v>
      </c>
      <c r="D7" s="16">
        <f>SUM(D5:D6)</f>
        <v>5450000</v>
      </c>
      <c r="E7" s="16">
        <f>SUM(E5:E6)</f>
        <v>7350000</v>
      </c>
    </row>
    <row r="8" spans="1:5" ht="15" x14ac:dyDescent="0.35">
      <c r="A8" s="14" t="s">
        <v>76</v>
      </c>
      <c r="B8" s="14"/>
      <c r="C8" s="14"/>
      <c r="D8" s="14"/>
      <c r="E8" s="14"/>
    </row>
    <row r="9" spans="1:5" ht="15" x14ac:dyDescent="0.35">
      <c r="A9" s="3" t="s">
        <v>77</v>
      </c>
      <c r="B9" s="3" t="s">
        <v>78</v>
      </c>
      <c r="C9" s="9">
        <v>1450000</v>
      </c>
      <c r="D9" s="9">
        <v>2100000</v>
      </c>
      <c r="E9" s="9">
        <v>2750000</v>
      </c>
    </row>
    <row r="10" spans="1:5" ht="15" x14ac:dyDescent="0.35">
      <c r="A10" s="15" t="s">
        <v>79</v>
      </c>
      <c r="B10" s="15"/>
      <c r="C10" s="16">
        <f>C7-C9</f>
        <v>2200000</v>
      </c>
      <c r="D10" s="16">
        <f>D7-D9</f>
        <v>3350000</v>
      </c>
      <c r="E10" s="16">
        <f>E7-E9</f>
        <v>4600000</v>
      </c>
    </row>
    <row r="11" spans="1:5" ht="15" x14ac:dyDescent="0.35">
      <c r="A11" s="3" t="s">
        <v>80</v>
      </c>
      <c r="B11" s="3" t="s">
        <v>81</v>
      </c>
      <c r="C11" s="9">
        <v>380000</v>
      </c>
      <c r="D11" s="9">
        <v>440000</v>
      </c>
      <c r="E11" s="9">
        <v>510000</v>
      </c>
    </row>
    <row r="12" spans="1:5" ht="15" x14ac:dyDescent="0.35">
      <c r="A12" s="3" t="s">
        <v>82</v>
      </c>
      <c r="B12" s="3" t="s">
        <v>83</v>
      </c>
      <c r="C12" s="9">
        <v>180000</v>
      </c>
      <c r="D12" s="9">
        <v>220000</v>
      </c>
      <c r="E12" s="9">
        <v>260000</v>
      </c>
    </row>
    <row r="13" spans="1:5" ht="15" x14ac:dyDescent="0.35">
      <c r="A13" s="3" t="s">
        <v>84</v>
      </c>
      <c r="B13" s="3" t="s">
        <v>85</v>
      </c>
      <c r="C13" s="9">
        <v>45000</v>
      </c>
      <c r="D13" s="9">
        <v>50000</v>
      </c>
      <c r="E13" s="9">
        <v>55000</v>
      </c>
    </row>
    <row r="14" spans="1:5" ht="15" x14ac:dyDescent="0.35">
      <c r="A14" s="3" t="s">
        <v>86</v>
      </c>
      <c r="B14" s="3" t="s">
        <v>87</v>
      </c>
      <c r="C14" s="9">
        <v>35000</v>
      </c>
      <c r="D14" s="9">
        <v>45000</v>
      </c>
      <c r="E14" s="9">
        <v>55000</v>
      </c>
    </row>
    <row r="15" spans="1:5" ht="15" x14ac:dyDescent="0.35">
      <c r="A15" s="3" t="s">
        <v>88</v>
      </c>
      <c r="B15" s="3" t="s">
        <v>89</v>
      </c>
      <c r="C15" s="9">
        <v>620000</v>
      </c>
      <c r="D15" s="9">
        <v>780000</v>
      </c>
      <c r="E15" s="9">
        <v>940000</v>
      </c>
    </row>
    <row r="16" spans="1:5" ht="15" x14ac:dyDescent="0.35">
      <c r="A16" s="3" t="s">
        <v>90</v>
      </c>
      <c r="B16" s="3" t="s">
        <v>91</v>
      </c>
      <c r="C16" s="9" t="str">
        <f ca="1">C16*'1_SYNTHÈSE_&amp;_HYPOTHÈSES'!B13</f>
        <v/>
      </c>
      <c r="D16" s="9" t="str">
        <f ca="1">D16*'1_SYNTHÈSE_&amp;_HYPOTHÈSES'!B13</f>
        <v/>
      </c>
      <c r="E16" s="9" t="str">
        <f ca="1">E16*'1_SYNTHÈSE_&amp;_HYPOTHÈSES'!B13</f>
        <v/>
      </c>
    </row>
    <row r="17" spans="1:5" ht="15" x14ac:dyDescent="0.35">
      <c r="A17" s="15" t="s">
        <v>92</v>
      </c>
      <c r="B17" s="15"/>
      <c r="C17" s="16">
        <f>C10-SUM(C12:C15)</f>
        <v>1320000</v>
      </c>
      <c r="D17" s="16">
        <f>D10-SUM(D12:D15)</f>
        <v>2255000</v>
      </c>
      <c r="E17" s="16">
        <f>E10-SUM(E12:E15)</f>
        <v>3290000</v>
      </c>
    </row>
    <row r="18" spans="1:5" ht="15" x14ac:dyDescent="0.35">
      <c r="A18" s="15" t="s">
        <v>93</v>
      </c>
      <c r="B18" s="15"/>
      <c r="C18" s="16" t="str">
        <f ca="1">C18-C16-C17</f>
        <v/>
      </c>
      <c r="D18" s="16" t="str">
        <f ca="1">D18-D16-D17</f>
        <v/>
      </c>
      <c r="E18" s="16" t="str">
        <f ca="1">E18-E16-E17</f>
        <v/>
      </c>
    </row>
    <row r="19" spans="1:5" ht="15" x14ac:dyDescent="0.35">
      <c r="A19" s="3" t="s">
        <v>94</v>
      </c>
      <c r="B19" s="3" t="s">
        <v>95</v>
      </c>
      <c r="C19" s="9">
        <f>'2_CAPEX_&amp;_AMORTISSEMENTS'!E12</f>
        <v>307497.5</v>
      </c>
      <c r="D19" s="9">
        <f>'2_CAPEX_&amp;_AMORTISSEMENTS'!F12</f>
        <v>307497.5</v>
      </c>
      <c r="E19" s="9">
        <f>'2_CAPEX_&amp;_AMORTISSEMENTS'!G12</f>
        <v>307497.5</v>
      </c>
    </row>
    <row r="20" spans="1:5" ht="15" x14ac:dyDescent="0.35">
      <c r="A20" s="15" t="s">
        <v>96</v>
      </c>
      <c r="B20" s="15" t="s">
        <v>97</v>
      </c>
      <c r="C20" s="16" t="str">
        <f ca="1">C19-C20</f>
        <v/>
      </c>
      <c r="D20" s="16" t="str">
        <f ca="1">D19-D20</f>
        <v/>
      </c>
      <c r="E20" s="16" t="str">
        <f ca="1">E19-E20</f>
        <v/>
      </c>
    </row>
    <row r="21" spans="1:5" ht="15" x14ac:dyDescent="0.35">
      <c r="A21" s="14" t="s">
        <v>98</v>
      </c>
      <c r="B21" s="14"/>
      <c r="C21" s="14"/>
      <c r="D21" s="14"/>
      <c r="E21" s="14"/>
    </row>
    <row r="22" spans="1:5" ht="15" x14ac:dyDescent="0.35">
      <c r="A22" s="3" t="s">
        <v>99</v>
      </c>
      <c r="B22" s="3" t="s">
        <v>100</v>
      </c>
      <c r="C22" s="9">
        <v>72000</v>
      </c>
      <c r="D22" s="9">
        <v>58000</v>
      </c>
      <c r="E22" s="9">
        <v>42000</v>
      </c>
    </row>
    <row r="23" spans="1:5" ht="15" x14ac:dyDescent="0.35">
      <c r="A23" s="15" t="s">
        <v>101</v>
      </c>
      <c r="B23" s="15" t="s">
        <v>102</v>
      </c>
      <c r="C23" s="16" t="str">
        <f ca="1">C21-C23</f>
        <v/>
      </c>
      <c r="D23" s="16" t="str">
        <f ca="1">D21-D23</f>
        <v/>
      </c>
      <c r="E23" s="16" t="str">
        <f ca="1">E21-E23</f>
        <v/>
      </c>
    </row>
    <row r="24" spans="1:5" ht="15" x14ac:dyDescent="0.35">
      <c r="A24" s="3" t="s">
        <v>103</v>
      </c>
      <c r="B24" s="3" t="s">
        <v>104</v>
      </c>
      <c r="C24" s="9" t="str">
        <f ca="1">MAX(C24*'1_SYNTHÈSE_&amp;_HYPOTHÈSES'!B11, C7*'1_SYNTHÈSE_&amp;_HYPOTHÈSES'!B12)</f>
        <v/>
      </c>
      <c r="D24" s="9" t="str">
        <f ca="1">MAX(D24*'1_SYNTHÈSE_&amp;_HYPOTHÈSES'!B11, D7*'1_SYNTHÈSE_&amp;_HYPOTHÈSES'!B12)</f>
        <v/>
      </c>
      <c r="E24" s="9" t="str">
        <f ca="1">MAX(E24*'1_SYNTHÈSE_&amp;_HYPOTHÈSES'!B11, E7*'1_SYNTHÈSE_&amp;_HYPOTHÈSES'!B12)</f>
        <v/>
      </c>
    </row>
    <row r="25" spans="1:5" ht="15" x14ac:dyDescent="0.35">
      <c r="A25" s="17" t="s">
        <v>105</v>
      </c>
      <c r="B25" s="17" t="s">
        <v>106</v>
      </c>
      <c r="C25" s="18" t="str">
        <f ca="1">C24-C25</f>
        <v/>
      </c>
      <c r="D25" s="18" t="str">
        <f ca="1">D24-D25</f>
        <v/>
      </c>
      <c r="E25" s="18" t="str">
        <f ca="1">E24-E25</f>
        <v/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topLeftCell="E1" workbookViewId="0">
      <selection sqref="A1:E1"/>
    </sheetView>
  </sheetViews>
  <sheetFormatPr defaultRowHeight="14.4" x14ac:dyDescent="0.3"/>
  <cols>
    <col min="1" max="1" width="38" customWidth="1"/>
    <col min="2" max="2" width="37" customWidth="1"/>
    <col min="3" max="5" width="70" customWidth="1"/>
  </cols>
  <sheetData>
    <row r="1" spans="1:5" ht="23.4" x14ac:dyDescent="0.3">
      <c r="A1" s="28" t="s">
        <v>107</v>
      </c>
      <c r="B1" s="26"/>
      <c r="C1" s="26"/>
      <c r="D1" s="26"/>
      <c r="E1" s="26"/>
    </row>
    <row r="3" spans="1:5" ht="15" x14ac:dyDescent="0.3">
      <c r="A3" s="2" t="s">
        <v>108</v>
      </c>
      <c r="B3" s="2" t="s">
        <v>109</v>
      </c>
      <c r="C3" s="2" t="s">
        <v>37</v>
      </c>
      <c r="D3" s="2" t="s">
        <v>38</v>
      </c>
      <c r="E3" s="2" t="s">
        <v>39</v>
      </c>
    </row>
    <row r="4" spans="1:5" ht="15" x14ac:dyDescent="0.35">
      <c r="A4" s="3" t="s">
        <v>110</v>
      </c>
      <c r="B4" s="3" t="s">
        <v>111</v>
      </c>
      <c r="C4" s="9">
        <f>'3_COMPTE_RÉSULTAT_36M'!C7*1.2*('1_SYNTHÈSE_&amp;_HYPOTHÈSES'!B14/360)</f>
        <v>730000</v>
      </c>
      <c r="D4" s="9">
        <f>'3_COMPTE_RÉSULTAT_36M'!D7*1.2*('1_SYNTHÈSE_&amp;_HYPOTHÈSES'!B14/360)</f>
        <v>1090000</v>
      </c>
      <c r="E4" s="9">
        <f>'3_COMPTE_RÉSULTAT_36M'!E7*1.2*('1_SYNTHÈSE_&amp;_HYPOTHÈSES'!B14/360)</f>
        <v>1470000</v>
      </c>
    </row>
    <row r="5" spans="1:5" ht="15" x14ac:dyDescent="0.35">
      <c r="A5" s="3" t="s">
        <v>112</v>
      </c>
      <c r="B5" s="3" t="s">
        <v>113</v>
      </c>
      <c r="C5" s="9">
        <f>'3_COMPTE_RÉSULTAT_36M'!C9*('1_SYNTHÈSE_&amp;_HYPOTHÈSES'!B16/360)</f>
        <v>120833.33333333333</v>
      </c>
      <c r="D5" s="9">
        <f>'3_COMPTE_RÉSULTAT_36M'!D9*('1_SYNTHÈSE_&amp;_HYPOTHÈSES'!B16/360)</f>
        <v>175000</v>
      </c>
      <c r="E5" s="9">
        <f>'3_COMPTE_RÉSULTAT_36M'!E9*('1_SYNTHÈSE_&amp;_HYPOTHÈSES'!B16/360)</f>
        <v>229166.66666666666</v>
      </c>
    </row>
    <row r="6" spans="1:5" ht="15" x14ac:dyDescent="0.35">
      <c r="A6" s="3" t="s">
        <v>114</v>
      </c>
      <c r="B6" s="3" t="s">
        <v>115</v>
      </c>
      <c r="C6" s="9">
        <f>'3_COMPTE_RÉSULTAT_36M'!C9*1.2*('1_SYNTHÈSE_&amp;_HYPOTHÈSES'!B15/360)</f>
        <v>217500</v>
      </c>
      <c r="D6" s="9">
        <f>'3_COMPTE_RÉSULTAT_36M'!D9*1.2*('1_SYNTHÈSE_&amp;_HYPOTHÈSES'!B15/360)</f>
        <v>315000</v>
      </c>
      <c r="E6" s="9">
        <f>'3_COMPTE_RÉSULTAT_36M'!E9*1.2*('1_SYNTHÈSE_&amp;_HYPOTHÈSES'!B15/360)</f>
        <v>412500</v>
      </c>
    </row>
    <row r="7" spans="1:5" ht="15" x14ac:dyDescent="0.35">
      <c r="A7" s="15" t="s">
        <v>116</v>
      </c>
      <c r="B7" s="15" t="s">
        <v>117</v>
      </c>
      <c r="C7" s="16">
        <f>C4+C5-C6</f>
        <v>633333.33333333337</v>
      </c>
      <c r="D7" s="16">
        <f>D4+D5-D6</f>
        <v>950000</v>
      </c>
      <c r="E7" s="16">
        <f>E4+E5-E6</f>
        <v>1286666.6666666667</v>
      </c>
    </row>
    <row r="8" spans="1:5" ht="15" x14ac:dyDescent="0.35">
      <c r="A8" s="3" t="s">
        <v>118</v>
      </c>
      <c r="B8" s="3" t="s">
        <v>119</v>
      </c>
      <c r="C8" s="19">
        <f>(C7/'3_COMPTE_RÉSULTAT_36M'!C7)*360</f>
        <v>62.465753424657542</v>
      </c>
      <c r="D8" s="19">
        <f>(D7/'3_COMPTE_RÉSULTAT_36M'!D7)*360</f>
        <v>62.752293577981654</v>
      </c>
      <c r="E8" s="19">
        <f>(E7/'3_COMPTE_RÉSULTAT_36M'!E7)*360</f>
        <v>63.020408163265316</v>
      </c>
    </row>
    <row r="9" spans="1:5" ht="15" x14ac:dyDescent="0.35">
      <c r="A9" s="3" t="s">
        <v>120</v>
      </c>
      <c r="B9" s="3" t="s">
        <v>121</v>
      </c>
      <c r="C9" s="9">
        <f>C7</f>
        <v>633333.33333333337</v>
      </c>
      <c r="D9" s="9">
        <f>D7-C7</f>
        <v>316666.66666666663</v>
      </c>
      <c r="E9" s="9">
        <f>E7-D7</f>
        <v>336666.66666666674</v>
      </c>
    </row>
    <row r="10" spans="1:5" ht="15" x14ac:dyDescent="0.35">
      <c r="A10" s="14" t="s">
        <v>122</v>
      </c>
      <c r="B10" s="14"/>
      <c r="C10" s="14"/>
      <c r="D10" s="14"/>
      <c r="E10" s="14"/>
    </row>
    <row r="11" spans="1:5" ht="15" x14ac:dyDescent="0.35">
      <c r="A11" s="3" t="s">
        <v>46</v>
      </c>
      <c r="B11" s="3" t="s">
        <v>123</v>
      </c>
      <c r="C11" s="9" t="str">
        <f ca="1">'3_COMPTE_RÉSULTAT_36M'!C26+'3_COMPTE_RÉSULTAT_36M'!C20</f>
        <v/>
      </c>
      <c r="D11" s="9" t="str">
        <f ca="1">'3_COMPTE_RÉSULTAT_36M'!D26+'3_COMPTE_RÉSULTAT_36M'!D20</f>
        <v/>
      </c>
      <c r="E11" s="9" t="str">
        <f ca="1">'3_COMPTE_RÉSULTAT_36M'!E26+'3_COMPTE_RÉSULTAT_36M'!E20</f>
        <v/>
      </c>
    </row>
    <row r="12" spans="1:5" ht="15" x14ac:dyDescent="0.35">
      <c r="A12" s="3" t="s">
        <v>124</v>
      </c>
      <c r="B12" s="3" t="s">
        <v>125</v>
      </c>
      <c r="C12" s="9">
        <f>-C9</f>
        <v>-633333.33333333337</v>
      </c>
      <c r="D12" s="9">
        <f>-D9</f>
        <v>-316666.66666666663</v>
      </c>
      <c r="E12" s="9">
        <f>-E9</f>
        <v>-336666.66666666674</v>
      </c>
    </row>
    <row r="13" spans="1:5" ht="15" x14ac:dyDescent="0.35">
      <c r="A13" s="3" t="s">
        <v>126</v>
      </c>
      <c r="B13" s="3" t="s">
        <v>127</v>
      </c>
      <c r="C13" s="9" t="str">
        <f ca="1">C11+C12</f>
        <v/>
      </c>
      <c r="D13" s="9" t="str">
        <f ca="1">D11+D12</f>
        <v/>
      </c>
      <c r="E13" s="9" t="str">
        <f ca="1">E11+E12</f>
        <v/>
      </c>
    </row>
    <row r="14" spans="1:5" ht="15" x14ac:dyDescent="0.35">
      <c r="A14" s="3" t="s">
        <v>128</v>
      </c>
      <c r="B14" s="3" t="s">
        <v>129</v>
      </c>
      <c r="C14" s="9">
        <f>-'2_CAPEX_&amp;_AMORTISSEMENTS'!B12</f>
        <v>-1785000</v>
      </c>
      <c r="D14" s="9">
        <f>-50000</f>
        <v>-50000</v>
      </c>
      <c r="E14" s="9">
        <f>-75000</f>
        <v>-75000</v>
      </c>
    </row>
    <row r="15" spans="1:5" ht="15" x14ac:dyDescent="0.35">
      <c r="A15" s="3" t="s">
        <v>130</v>
      </c>
      <c r="B15" s="3" t="s">
        <v>131</v>
      </c>
      <c r="C15" s="9">
        <f>-180000</f>
        <v>-180000</v>
      </c>
      <c r="D15" s="9">
        <f>-180000</f>
        <v>-180000</v>
      </c>
      <c r="E15" s="9">
        <f>-180000</f>
        <v>-180000</v>
      </c>
    </row>
    <row r="16" spans="1:5" ht="15" x14ac:dyDescent="0.35">
      <c r="A16" s="3" t="s">
        <v>132</v>
      </c>
      <c r="B16" s="3" t="s">
        <v>133</v>
      </c>
      <c r="C16" s="9">
        <f>900000</f>
        <v>900000</v>
      </c>
      <c r="D16" s="9">
        <f>0</f>
        <v>0</v>
      </c>
      <c r="E16" s="9">
        <f>0</f>
        <v>0</v>
      </c>
    </row>
    <row r="17" spans="1:5" ht="15" x14ac:dyDescent="0.35">
      <c r="A17" s="3" t="s">
        <v>134</v>
      </c>
      <c r="B17" s="3" t="s">
        <v>135</v>
      </c>
      <c r="C17" s="9">
        <f>1000000</f>
        <v>1000000</v>
      </c>
      <c r="D17" s="9">
        <f>0</f>
        <v>0</v>
      </c>
      <c r="E17" s="9">
        <f>0</f>
        <v>0</v>
      </c>
    </row>
    <row r="18" spans="1:5" ht="15" x14ac:dyDescent="0.35">
      <c r="A18" s="15" t="s">
        <v>136</v>
      </c>
      <c r="B18" s="15" t="s">
        <v>137</v>
      </c>
      <c r="C18" s="16" t="str">
        <f ca="1">C13+C14+C15+C16+C17</f>
        <v/>
      </c>
      <c r="D18" s="16" t="str">
        <f ca="1">C18+D13+D14+D15+D16+D17</f>
        <v/>
      </c>
      <c r="E18" s="16" t="str">
        <f ca="1">D18+E13+E14+E15+E16+E17</f>
        <v/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workbookViewId="0">
      <selection sqref="A1:E1"/>
    </sheetView>
  </sheetViews>
  <sheetFormatPr defaultRowHeight="14.4" x14ac:dyDescent="0.3"/>
  <cols>
    <col min="1" max="1" width="38" customWidth="1"/>
    <col min="2" max="2" width="44" customWidth="1"/>
    <col min="3" max="5" width="199" customWidth="1"/>
  </cols>
  <sheetData>
    <row r="1" spans="1:5" ht="23.4" x14ac:dyDescent="0.3">
      <c r="A1" s="28" t="s">
        <v>138</v>
      </c>
      <c r="B1" s="26"/>
      <c r="C1" s="26"/>
      <c r="D1" s="26"/>
      <c r="E1" s="26"/>
    </row>
    <row r="3" spans="1:5" ht="15" x14ac:dyDescent="0.3">
      <c r="A3" s="2" t="s">
        <v>139</v>
      </c>
      <c r="B3" s="2" t="s">
        <v>140</v>
      </c>
      <c r="C3" s="2" t="s">
        <v>37</v>
      </c>
      <c r="D3" s="2" t="s">
        <v>38</v>
      </c>
      <c r="E3" s="2" t="s">
        <v>39</v>
      </c>
    </row>
    <row r="4" spans="1:5" ht="15" x14ac:dyDescent="0.35">
      <c r="A4" s="3" t="s">
        <v>141</v>
      </c>
      <c r="B4" s="3" t="s">
        <v>142</v>
      </c>
      <c r="C4" s="9">
        <f>'3_COMPTE_RÉSULTAT_36M'!C7</f>
        <v>3650000</v>
      </c>
      <c r="D4" s="9">
        <f>'3_COMPTE_RÉSULTAT_36M'!D7</f>
        <v>5450000</v>
      </c>
      <c r="E4" s="9">
        <f>'3_COMPTE_RÉSULTAT_36M'!E7</f>
        <v>7350000</v>
      </c>
    </row>
    <row r="5" spans="1:5" ht="15" x14ac:dyDescent="0.35">
      <c r="A5" s="3" t="s">
        <v>143</v>
      </c>
      <c r="B5" s="3" t="s">
        <v>144</v>
      </c>
      <c r="C5" s="9">
        <f>'3_COMPTE_RÉSULTAT_36M'!C9+'3_COMPTE_RÉSULTAT_36M'!C13</f>
        <v>1495000</v>
      </c>
      <c r="D5" s="9">
        <f>'3_COMPTE_RÉSULTAT_36M'!D9+'3_COMPTE_RÉSULTAT_36M'!D13</f>
        <v>2150000</v>
      </c>
      <c r="E5" s="9">
        <f>'3_COMPTE_RÉSULTAT_36M'!E9+'3_COMPTE_RÉSULTAT_36M'!E13</f>
        <v>2805000</v>
      </c>
    </row>
    <row r="6" spans="1:5" ht="15" x14ac:dyDescent="0.35">
      <c r="A6" s="3" t="s">
        <v>145</v>
      </c>
      <c r="B6" s="3" t="s">
        <v>146</v>
      </c>
      <c r="C6" s="9">
        <f>C4-C5</f>
        <v>2155000</v>
      </c>
      <c r="D6" s="9">
        <f>D4-D5</f>
        <v>3300000</v>
      </c>
      <c r="E6" s="9">
        <f>E4-E5</f>
        <v>4545000</v>
      </c>
    </row>
    <row r="7" spans="1:5" ht="15" x14ac:dyDescent="0.35">
      <c r="A7" s="6" t="s">
        <v>147</v>
      </c>
      <c r="B7" s="6" t="s">
        <v>148</v>
      </c>
      <c r="C7" s="8">
        <f>C6/C4</f>
        <v>0.59041095890410955</v>
      </c>
      <c r="D7" s="8">
        <f>D6/D4</f>
        <v>0.60550458715596334</v>
      </c>
      <c r="E7" s="8">
        <f>E6/E4</f>
        <v>0.61836734693877549</v>
      </c>
    </row>
    <row r="8" spans="1:5" ht="15" x14ac:dyDescent="0.35">
      <c r="A8" s="3" t="s">
        <v>149</v>
      </c>
      <c r="B8" s="3" t="s">
        <v>150</v>
      </c>
      <c r="C8" s="9" t="str">
        <f ca="1">'3_COMPTE_RÉSULTAT_36M'!C12+'3_COMPTE_RÉSULTAT_36M'!C14+'3_COMPTE_RÉSULTAT_36M'!C15+'3_COMPTE_RÉSULTAT_36M'!C16+'3_COMPTE_RÉSULTAT_36M'!C17+'3_COMPTE_RÉSULTAT_36M'!C20+'3_COMPTE_RÉSULTAT_36M'!C23</f>
        <v/>
      </c>
      <c r="D8" s="9" t="str">
        <f ca="1">'3_COMPTE_RÉSULTAT_36M'!D12+'3_COMPTE_RÉSULTAT_36M'!D14+'3_COMPTE_RÉSULTAT_36M'!D15+'3_COMPTE_RÉSULTAT_36M'!D16+'3_COMPTE_RÉSULTAT_36M'!D17+'3_COMPTE_RÉSULTAT_36M'!D20+'3_COMPTE_RÉSULTAT_36M'!D23</f>
        <v/>
      </c>
      <c r="E8" s="9" t="str">
        <f ca="1">'3_COMPTE_RÉSULTAT_36M'!E12+'3_COMPTE_RÉSULTAT_36M'!E14+'3_COMPTE_RÉSULTAT_36M'!E15+'3_COMPTE_RÉSULTAT_36M'!E16+'3_COMPTE_RÉSULTAT_36M'!E17+'3_COMPTE_RÉSULTAT_36M'!E20+'3_COMPTE_RÉSULTAT_36M'!E23</f>
        <v/>
      </c>
    </row>
    <row r="9" spans="1:5" ht="15" x14ac:dyDescent="0.35">
      <c r="A9" s="14" t="s">
        <v>151</v>
      </c>
      <c r="B9" s="14"/>
      <c r="C9" s="14"/>
      <c r="D9" s="14"/>
      <c r="E9" s="14"/>
    </row>
    <row r="10" spans="1:5" ht="15" x14ac:dyDescent="0.35">
      <c r="A10" s="20" t="s">
        <v>152</v>
      </c>
      <c r="B10" s="20" t="s">
        <v>153</v>
      </c>
      <c r="C10" s="21" t="str">
        <f ca="1">C8/C7</f>
        <v/>
      </c>
      <c r="D10" s="21" t="str">
        <f ca="1">D8/D7</f>
        <v/>
      </c>
      <c r="E10" s="21" t="str">
        <f ca="1">E8/E7</f>
        <v/>
      </c>
    </row>
    <row r="11" spans="1:5" ht="15" x14ac:dyDescent="0.35">
      <c r="A11" s="6" t="s">
        <v>154</v>
      </c>
      <c r="B11" s="6" t="s">
        <v>155</v>
      </c>
      <c r="C11" s="22" t="str">
        <f ca="1">(C10/C4)*360</f>
        <v/>
      </c>
      <c r="D11" s="22" t="str">
        <f ca="1">(D10/D4)*360</f>
        <v/>
      </c>
      <c r="E11" s="22" t="str">
        <f ca="1">(E10/E4)*360</f>
        <v/>
      </c>
    </row>
    <row r="12" spans="1:5" ht="15" x14ac:dyDescent="0.35">
      <c r="A12" s="6" t="s">
        <v>156</v>
      </c>
      <c r="B12" s="6" t="s">
        <v>157</v>
      </c>
      <c r="C12" s="22" t="str">
        <f ca="1">'5_SEUIL_RENTABILITÉ'!C11/30</f>
        <v/>
      </c>
      <c r="D12" s="22" t="str">
        <f ca="1">'5_SEUIL_RENTABILITÉ'!D11/30</f>
        <v/>
      </c>
      <c r="E12" s="22" t="str">
        <f ca="1">'5_SEUIL_RENTABILITÉ'!E11/30</f>
        <v/>
      </c>
    </row>
    <row r="13" spans="1:5" ht="15" x14ac:dyDescent="0.35">
      <c r="A13" s="3" t="s">
        <v>158</v>
      </c>
      <c r="B13" s="3" t="s">
        <v>159</v>
      </c>
      <c r="C13" s="9" t="str">
        <f ca="1">C4-C10</f>
        <v/>
      </c>
      <c r="D13" s="9" t="str">
        <f ca="1">D4-D10</f>
        <v/>
      </c>
      <c r="E13" s="9" t="str">
        <f ca="1">E4-E10</f>
        <v/>
      </c>
    </row>
    <row r="14" spans="1:5" ht="15" x14ac:dyDescent="0.35">
      <c r="A14" s="6" t="s">
        <v>160</v>
      </c>
      <c r="B14" s="6" t="s">
        <v>161</v>
      </c>
      <c r="C14" s="8" t="str">
        <f ca="1">C13/C4</f>
        <v/>
      </c>
      <c r="D14" s="8" t="str">
        <f ca="1">D13/D4</f>
        <v/>
      </c>
      <c r="E14" s="8" t="str">
        <f ca="1">E13/E4</f>
        <v/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F6" sqref="F6"/>
    </sheetView>
  </sheetViews>
  <sheetFormatPr defaultRowHeight="14.4" x14ac:dyDescent="0.3"/>
  <cols>
    <col min="1" max="1" width="38" customWidth="1"/>
    <col min="2" max="2" width="37" customWidth="1"/>
    <col min="3" max="3" width="23" customWidth="1"/>
    <col min="4" max="5" width="76" customWidth="1"/>
    <col min="6" max="6" width="69" customWidth="1"/>
  </cols>
  <sheetData>
    <row r="1" spans="1:6" ht="23.4" x14ac:dyDescent="0.3">
      <c r="A1" s="28" t="s">
        <v>162</v>
      </c>
      <c r="B1" s="26"/>
      <c r="C1" s="26"/>
      <c r="D1" s="26"/>
      <c r="E1" s="26"/>
      <c r="F1" s="26"/>
    </row>
    <row r="3" spans="1:6" ht="15" x14ac:dyDescent="0.3">
      <c r="A3" s="2" t="s">
        <v>163</v>
      </c>
      <c r="B3" s="2" t="s">
        <v>164</v>
      </c>
      <c r="C3" s="2" t="s">
        <v>165</v>
      </c>
      <c r="D3" s="2" t="s">
        <v>166</v>
      </c>
      <c r="E3" s="2" t="s">
        <v>167</v>
      </c>
      <c r="F3" s="2" t="s">
        <v>168</v>
      </c>
    </row>
    <row r="4" spans="1:6" ht="15" x14ac:dyDescent="0.35">
      <c r="A4" s="6" t="s">
        <v>169</v>
      </c>
      <c r="B4" s="3" t="s">
        <v>170</v>
      </c>
      <c r="C4" s="3" t="s">
        <v>171</v>
      </c>
      <c r="D4" s="23" t="str">
        <f ca="1">('3_COMPTE_RÉSULTAT_36M'!C26+'3_COMPTE_RÉSULTAT_36M'!C20)/(180000+72000)</f>
        <v/>
      </c>
      <c r="E4" s="23" t="str">
        <f ca="1">('3_COMPTE_RÉSULTAT_36M'!D26+'3_COMPTE_RÉSULTAT_36M'!D20)/(180000+58000)</f>
        <v/>
      </c>
      <c r="F4" s="24" t="str">
        <f ca="1">IF(D4&gt;=1.3, "VALIDE (RISQUE FAIBLE)", "REJET (CASH INSUFFISANT)")</f>
        <v/>
      </c>
    </row>
    <row r="5" spans="1:6" ht="15" x14ac:dyDescent="0.35">
      <c r="A5" s="6" t="s">
        <v>172</v>
      </c>
      <c r="B5" s="3" t="s">
        <v>173</v>
      </c>
      <c r="C5" s="3" t="s">
        <v>174</v>
      </c>
      <c r="D5" s="23">
        <f>1000000/900000</f>
        <v>1.1111111111111112</v>
      </c>
      <c r="E5" s="23">
        <f>820000/(900000+'3_COMPTE_RÉSULTAT_36M'!C26)</f>
        <v>0.91111111111111109</v>
      </c>
      <c r="F5" s="24" t="str">
        <f>IF(D5&lt;=2.5, "VALIDE", "ALERTE SURENDETTEMENT")</f>
        <v>VALIDE</v>
      </c>
    </row>
    <row r="6" spans="1:6" ht="15" x14ac:dyDescent="0.35">
      <c r="A6" s="6" t="s">
        <v>175</v>
      </c>
      <c r="B6" s="3" t="s">
        <v>176</v>
      </c>
      <c r="C6" s="3" t="s">
        <v>177</v>
      </c>
      <c r="D6" s="10">
        <f>'3_COMPTE_RÉSULTAT_36M'!C26/'3_COMPTE_RÉSULTAT_36M'!C7</f>
        <v>0</v>
      </c>
      <c r="E6" s="10">
        <f>'3_COMPTE_RÉSULTAT_36M'!D26/'3_COMPTE_RÉSULTAT_36M'!D7</f>
        <v>0</v>
      </c>
      <c r="F6" s="24" t="str">
        <f>IF(D6&gt;=0.05, "EXCELLENT", "MARGE FAIBLE")</f>
        <v>MARGE FAIBLE</v>
      </c>
    </row>
    <row r="7" spans="1:6" ht="15" x14ac:dyDescent="0.35">
      <c r="A7" s="6" t="s">
        <v>178</v>
      </c>
      <c r="B7" s="3" t="s">
        <v>179</v>
      </c>
      <c r="C7" s="3" t="s">
        <v>180</v>
      </c>
      <c r="D7" s="10">
        <f>'3_COMPTE_RÉSULTAT_36M'!C26/900000</f>
        <v>0</v>
      </c>
      <c r="E7" s="10">
        <f>'3_COMPTE_RÉSULTAT_36M'!D26/(900000+'3_COMPTE_RÉSULTAT_36M'!C26)</f>
        <v>0</v>
      </c>
      <c r="F7" s="24" t="str">
        <f>IF(D7&gt;=0.15, "TRÈS RENTABLE", "RENDEMENT MODESTE")</f>
        <v>RENDEMENT MODESTE</v>
      </c>
    </row>
    <row r="8" spans="1:6" ht="15" x14ac:dyDescent="0.35">
      <c r="A8" s="6" t="s">
        <v>181</v>
      </c>
      <c r="B8" s="3" t="s">
        <v>182</v>
      </c>
      <c r="C8" s="3" t="s">
        <v>183</v>
      </c>
      <c r="D8" s="10">
        <f>'4_BFR_&amp;_TRÉSORERIE'!C7/'3_COMPTE_RÉSULTAT_36M'!C7</f>
        <v>0.17351598173515984</v>
      </c>
      <c r="E8" s="10">
        <f>'4_BFR_&amp;_TRÉSORERIE'!D7/'3_COMPTE_RÉSULTAT_36M'!D7</f>
        <v>0.1743119266055046</v>
      </c>
      <c r="F8" s="24" t="str">
        <f>IF(D8&lt;=0.25, "BFR MAÎTRISÉ", "RISQUE DE TENSION DE TRÉSORERIE")</f>
        <v>BFR MAÎTRISÉ</v>
      </c>
    </row>
    <row r="11" spans="1:6" x14ac:dyDescent="0.3">
      <c r="A11" s="29" t="s">
        <v>184</v>
      </c>
      <c r="B11" s="26"/>
      <c r="C11" s="26"/>
      <c r="D11" s="26"/>
      <c r="E11" s="26"/>
      <c r="F11" s="26"/>
    </row>
    <row r="12" spans="1:6" x14ac:dyDescent="0.3">
      <c r="A12" s="26"/>
      <c r="B12" s="26"/>
      <c r="C12" s="26"/>
      <c r="D12" s="26"/>
      <c r="E12" s="26"/>
      <c r="F12" s="26"/>
    </row>
  </sheetData>
  <mergeCells count="2">
    <mergeCell ref="A1:F1"/>
    <mergeCell ref="A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1_SYNTHÈSE_&amp;_HYPOTHÈSES</vt:lpstr>
      <vt:lpstr>2_CAPEX_&amp;_AMORTISSEMENTS</vt:lpstr>
      <vt:lpstr>3_COMPTE_RÉSULTAT_36M</vt:lpstr>
      <vt:lpstr>4_BFR_&amp;_TRÉSORERIE</vt:lpstr>
      <vt:lpstr>5_SEUIL_RENTABILITÉ</vt:lpstr>
      <vt:lpstr>6_AUDIT_RATIOS_BANCAIRES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Soulaiman aitella</cp:lastModifiedBy>
  <dcterms:created xsi:type="dcterms:W3CDTF">2026-09-01T03:11:48Z</dcterms:created>
  <dcterms:modified xsi:type="dcterms:W3CDTF">2026-09-01T03:15:34Z</dcterms:modified>
</cp:coreProperties>
</file>